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66925"/>
  <mc:AlternateContent xmlns:mc="http://schemas.openxmlformats.org/markup-compatibility/2006">
    <mc:Choice Requires="x15">
      <x15ac:absPath xmlns:x15ac="http://schemas.microsoft.com/office/spreadsheetml/2010/11/ac" url="https://elevateenergy1.sharepoint.com/sites/ILSFA-ProgramManagement/Shared Documents/Marketing and Communications/Announcements/PY6 2023-2024/2024/01 January/1.16.24 Community Solar Project Selection - Webinar Announcement/"/>
    </mc:Choice>
  </mc:AlternateContent>
  <xr:revisionPtr revIDLastSave="1" documentId="8_{3407EAC2-7E94-4999-8D2D-C5E99F10BD1A}" xr6:coauthVersionLast="47" xr6:coauthVersionMax="47" xr10:uidLastSave="{52CA4373-9F76-484C-8DC5-B5C367602886}"/>
  <bookViews>
    <workbookView xWindow="-120" yWindow="-120" windowWidth="38640" windowHeight="21390" xr2:uid="{00000000-000D-0000-FFFF-FFFF00000000}"/>
  </bookViews>
  <sheets>
    <sheet name="EJC Projects" sheetId="2" r:id="rId1"/>
    <sheet name="Total_Incentives" sheetId="6" state="hidden" r:id="rId2"/>
  </sheets>
  <definedNames>
    <definedName name="_xlnm._FilterDatabase" localSheetId="0" hidden="1">'EJC Projects'!$A$2:$R$3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 i="2" l="1"/>
  <c r="W4" i="2"/>
  <c r="W5" i="2"/>
  <c r="W6" i="2"/>
  <c r="W7" i="2"/>
  <c r="W8" i="2"/>
  <c r="W9" i="2"/>
  <c r="W10" i="2"/>
  <c r="W11" i="2"/>
  <c r="W12" i="2"/>
  <c r="W13" i="2"/>
  <c r="W14" i="2"/>
  <c r="W15" i="2"/>
  <c r="W16" i="2"/>
  <c r="W17" i="2"/>
  <c r="W18" i="2"/>
  <c r="S3" i="2"/>
  <c r="X9" i="2" l="1"/>
  <c r="X13" i="2"/>
  <c r="X5" i="2"/>
  <c r="X16" i="2"/>
  <c r="X12" i="2"/>
  <c r="X11" i="2"/>
  <c r="X4" i="2"/>
  <c r="X10" i="2"/>
  <c r="X3" i="2"/>
  <c r="X8" i="2"/>
  <c r="X15" i="2"/>
  <c r="X7" i="2"/>
  <c r="X14" i="2"/>
  <c r="X6" i="2"/>
  <c r="X17" i="2"/>
  <c r="T3" i="2" l="1"/>
  <c r="W4" i="6" l="1"/>
  <c r="W3" i="6"/>
  <c r="W2" i="6"/>
  <c r="W5" i="6" l="1"/>
  <c r="W6" i="6" l="1"/>
  <c r="X3" i="6" l="1"/>
  <c r="X4" i="6"/>
  <c r="X2" i="6"/>
  <c r="W8" i="6"/>
</calcChain>
</file>

<file path=xl/sharedStrings.xml><?xml version="1.0" encoding="utf-8"?>
<sst xmlns="http://schemas.openxmlformats.org/spreadsheetml/2006/main" count="101" uniqueCount="72">
  <si>
    <t>Project Id</t>
  </si>
  <si>
    <t>Type of Project</t>
  </si>
  <si>
    <t>REC Value ($)</t>
  </si>
  <si>
    <t>Projected Project Size (AC kW) Formula</t>
  </si>
  <si>
    <t>Size Points</t>
  </si>
  <si>
    <t>Region for Regional Environmental Justice Score</t>
  </si>
  <si>
    <t>Regional Environmental Justice Score Points</t>
  </si>
  <si>
    <t>Is Energy Sovereignty Project</t>
  </si>
  <si>
    <t>EJC</t>
  </si>
  <si>
    <t>EJC Points</t>
  </si>
  <si>
    <t>Low-Income Census Tract</t>
  </si>
  <si>
    <t>LI CT Points</t>
  </si>
  <si>
    <t>Women/Minority Owned Business</t>
  </si>
  <si>
    <t>WMBE Points</t>
  </si>
  <si>
    <t>Anchor Type Points</t>
  </si>
  <si>
    <t>Total Points</t>
  </si>
  <si>
    <t>Category</t>
  </si>
  <si>
    <t>Total Incentive Value</t>
  </si>
  <si>
    <t>Percentage of Total Incentive Value</t>
  </si>
  <si>
    <t>Points</t>
  </si>
  <si>
    <t>Community Solar</t>
  </si>
  <si>
    <t>No</t>
  </si>
  <si>
    <t>Yes</t>
  </si>
  <si>
    <t>Size &gt;1000</t>
  </si>
  <si>
    <t>P-9002 - PY6</t>
  </si>
  <si>
    <t>Cook</t>
  </si>
  <si>
    <t>Size &gt;500&lt;=1000</t>
  </si>
  <si>
    <t>Size &gt;100&lt;=500</t>
  </si>
  <si>
    <t>Size &lt;=100</t>
  </si>
  <si>
    <t>EJ Region - Highest Regional EJ Score</t>
  </si>
  <si>
    <t>EJ Region - Second Highest Regional EJ Score</t>
  </si>
  <si>
    <t>EJ Region - No RECs to date</t>
  </si>
  <si>
    <t>EJ Region - All Other Regions</t>
  </si>
  <si>
    <t>ES - Yes</t>
  </si>
  <si>
    <t>EJC - Yes</t>
  </si>
  <si>
    <t>LI CT - Yes</t>
  </si>
  <si>
    <t>WMBE - Yes</t>
  </si>
  <si>
    <t>Anchor Type NP/PF</t>
  </si>
  <si>
    <t>Anchor Type PH</t>
  </si>
  <si>
    <t>Anchor Type CSP</t>
  </si>
  <si>
    <t>Total</t>
  </si>
  <si>
    <t>Percentage</t>
  </si>
  <si>
    <t>Project: Project Id</t>
  </si>
  <si>
    <t>Size Category</t>
  </si>
  <si>
    <t>Utility Territory</t>
  </si>
  <si>
    <t>Utility Group</t>
  </si>
  <si>
    <t>Utility Group Points</t>
  </si>
  <si>
    <t>LI CT</t>
  </si>
  <si>
    <t>Part I 100% Subscriber owned</t>
  </si>
  <si>
    <t>100% Subscriber Owned Points</t>
  </si>
  <si>
    <t>WMBE</t>
  </si>
  <si>
    <t>Projected Anchor Type</t>
  </si>
  <si>
    <t>Total Points (from selection in which it was chosen)</t>
  </si>
  <si>
    <t>P-0825</t>
  </si>
  <si>
    <t>&gt;250</t>
  </si>
  <si>
    <t>Ameren</t>
  </si>
  <si>
    <t>A</t>
  </si>
  <si>
    <t>Public facility</t>
  </si>
  <si>
    <t>P-0744</t>
  </si>
  <si>
    <t>ComEd</t>
  </si>
  <si>
    <t>B</t>
  </si>
  <si>
    <t>&lt;=250</t>
  </si>
  <si>
    <t>Incentive left</t>
  </si>
  <si>
    <t>Environmental Justice Community</t>
  </si>
  <si>
    <t>Anchor Type Project Host (yes/no)</t>
  </si>
  <si>
    <t>Anchor Type Critical Service Provider (yes/no)</t>
  </si>
  <si>
    <t>This table lists all of the project attributes on which project selection is based. Scores are listed only for those categories where scores are predetermined based on the inherent characteristics of the projects.
*The Minority/Women-owned Business Enterprise (MWBE) designation includes both Approved Vendors that are themselves a MWBE as well as Approved Vendors that have made a commitment to subcontracting with a MWBE for their given project.</t>
  </si>
  <si>
    <t>2023-2024 Rank Scores: Community Solar Sub-Program
Environmental Justice Community Selection Stage</t>
  </si>
  <si>
    <t>Energy Sovereignty Points</t>
  </si>
  <si>
    <t>Anchor Type Non-Profit/Public Facility</t>
  </si>
  <si>
    <t>Environmental Justice Community Points (not used in the EJC stage)</t>
  </si>
  <si>
    <t>Low-Income Census Tract Ponts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</si>
</sst>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4"/>
      <color theme="1"/>
      <name val="Calibri"/>
      <family val="2"/>
      <scheme val="minor"/>
    </font>
    <font>
      <b/>
      <sz val="14"/>
      <color theme="0"/>
      <name val="Calibri"/>
      <family val="2"/>
      <scheme val="minor"/>
    </font>
    <font>
      <sz val="14"/>
      <name val="Calibri"/>
      <family val="2"/>
      <scheme val="minor"/>
    </font>
    <font>
      <b/>
      <sz val="48"/>
      <color rgb="FF1C245E"/>
      <name val="Calibri"/>
      <family val="2"/>
      <scheme val="minor"/>
    </font>
    <font>
      <sz val="14"/>
      <color rgb="FF1C245E"/>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7"/>
        <bgColor theme="7"/>
      </patternFill>
    </fill>
    <fill>
      <patternFill patternType="solid">
        <fgColor theme="0"/>
        <bgColor indexed="64"/>
      </patternFill>
    </fill>
    <fill>
      <patternFill patternType="solid">
        <fgColor theme="2"/>
        <bgColor indexed="64"/>
      </patternFill>
    </fill>
    <fill>
      <patternFill patternType="solid">
        <fgColor rgb="FF5062E4"/>
        <bgColor theme="7"/>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op>
      <bottom style="thin">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style="thin">
        <color theme="7"/>
      </top>
      <bottom/>
      <diagonal/>
    </border>
    <border>
      <left style="thin">
        <color theme="7"/>
      </left>
      <right/>
      <top style="thin">
        <color theme="7"/>
      </top>
      <bottom/>
      <diagonal/>
    </border>
    <border>
      <left/>
      <right style="thin">
        <color theme="7"/>
      </right>
      <top style="thin">
        <color theme="7"/>
      </top>
      <bottom/>
      <diagonal/>
    </border>
    <border>
      <left/>
      <right/>
      <top style="thin">
        <color theme="7" tint="0.39997558519241921"/>
      </top>
      <bottom/>
      <diagonal/>
    </border>
    <border>
      <left style="thin">
        <color theme="7" tint="0.39997558519241921"/>
      </left>
      <right/>
      <top style="thin">
        <color theme="7" tint="0.39997558519241921"/>
      </top>
      <bottom/>
      <diagonal/>
    </border>
    <border>
      <left/>
      <right style="thin">
        <color theme="7" tint="0.39997558519241921"/>
      </right>
      <top style="thin">
        <color theme="7" tint="0.39997558519241921"/>
      </top>
      <bottom/>
      <diagonal/>
    </border>
    <border>
      <left style="thin">
        <color theme="4"/>
      </left>
      <right style="thin">
        <color indexed="64"/>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style="thin">
        <color theme="4"/>
      </left>
      <right style="thin">
        <color indexed="64"/>
      </right>
      <top style="thin">
        <color theme="4"/>
      </top>
      <bottom/>
      <diagonal/>
    </border>
    <border>
      <left style="thin">
        <color rgb="FF1C245E"/>
      </left>
      <right/>
      <top style="thin">
        <color rgb="FF1C245E"/>
      </top>
      <bottom style="thin">
        <color rgb="FF1C245E"/>
      </bottom>
      <diagonal/>
    </border>
    <border>
      <left/>
      <right/>
      <top style="thin">
        <color rgb="FF1C245E"/>
      </top>
      <bottom style="thin">
        <color rgb="FF1C245E"/>
      </bottom>
      <diagonal/>
    </border>
    <border>
      <left/>
      <right style="thin">
        <color rgb="FF1C245E"/>
      </right>
      <top style="thin">
        <color rgb="FF1C245E"/>
      </top>
      <bottom style="thin">
        <color rgb="FF1C245E"/>
      </bottom>
      <diagonal/>
    </border>
    <border>
      <left/>
      <right/>
      <top/>
      <bottom style="thin">
        <color rgb="FF1C245E"/>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2">
    <xf numFmtId="0" fontId="0" fillId="0" borderId="0" xfId="0"/>
    <xf numFmtId="44" fontId="0" fillId="0" borderId="0" xfId="0" applyNumberFormat="1"/>
    <xf numFmtId="44" fontId="13" fillId="33" borderId="12" xfId="42" applyFont="1" applyFill="1" applyBorder="1" applyAlignment="1">
      <alignment wrapText="1"/>
    </xf>
    <xf numFmtId="0" fontId="0" fillId="0" borderId="11" xfId="0" applyBorder="1"/>
    <xf numFmtId="44" fontId="0" fillId="0" borderId="12" xfId="42" applyFont="1" applyBorder="1"/>
    <xf numFmtId="0" fontId="0" fillId="0" borderId="14" xfId="0" applyBorder="1"/>
    <xf numFmtId="44" fontId="0" fillId="0" borderId="10" xfId="42" applyFont="1" applyBorder="1"/>
    <xf numFmtId="44" fontId="13" fillId="33" borderId="11" xfId="42" applyFont="1" applyFill="1" applyBorder="1" applyAlignment="1">
      <alignment wrapText="1"/>
    </xf>
    <xf numFmtId="10" fontId="0" fillId="0" borderId="0" xfId="43" applyNumberFormat="1" applyFont="1"/>
    <xf numFmtId="10" fontId="13" fillId="33" borderId="13" xfId="43" applyNumberFormat="1" applyFont="1" applyFill="1" applyBorder="1"/>
    <xf numFmtId="49" fontId="0" fillId="0" borderId="17" xfId="0" applyNumberFormat="1" applyBorder="1" applyAlignment="1">
      <alignment horizontal="center" wrapText="1"/>
    </xf>
    <xf numFmtId="49" fontId="0" fillId="0" borderId="16" xfId="0" applyNumberFormat="1" applyBorder="1" applyAlignment="1">
      <alignment horizontal="center" wrapText="1"/>
    </xf>
    <xf numFmtId="0" fontId="0" fillId="0" borderId="16" xfId="0" applyBorder="1" applyAlignment="1">
      <alignment horizontal="center" wrapText="1"/>
    </xf>
    <xf numFmtId="49" fontId="0" fillId="0" borderId="18" xfId="0" applyNumberFormat="1" applyBorder="1" applyAlignment="1">
      <alignment horizontal="center" wrapText="1"/>
    </xf>
    <xf numFmtId="0" fontId="13" fillId="34" borderId="20" xfId="0" applyFont="1" applyFill="1" applyBorder="1" applyAlignment="1">
      <alignment horizontal="center" vertical="center" wrapText="1"/>
    </xf>
    <xf numFmtId="0" fontId="13" fillId="34" borderId="19" xfId="0" applyFont="1" applyFill="1" applyBorder="1" applyAlignment="1">
      <alignment horizontal="center" vertical="center" wrapText="1"/>
    </xf>
    <xf numFmtId="0" fontId="13" fillId="34" borderId="21" xfId="0" applyFont="1" applyFill="1" applyBorder="1" applyAlignment="1">
      <alignment horizontal="center" vertical="center" wrapText="1"/>
    </xf>
    <xf numFmtId="9" fontId="0" fillId="0" borderId="13" xfId="43" applyFont="1" applyBorder="1"/>
    <xf numFmtId="9" fontId="0" fillId="0" borderId="15" xfId="43" applyFont="1" applyBorder="1"/>
    <xf numFmtId="0" fontId="18" fillId="0" borderId="0" xfId="0" applyFont="1" applyAlignment="1">
      <alignment horizontal="center" vertical="center"/>
    </xf>
    <xf numFmtId="0" fontId="18" fillId="0" borderId="0" xfId="0" applyFont="1"/>
    <xf numFmtId="0" fontId="18" fillId="36" borderId="23" xfId="0" applyFont="1" applyFill="1" applyBorder="1"/>
    <xf numFmtId="44" fontId="18" fillId="36" borderId="23" xfId="42" applyFont="1" applyFill="1" applyBorder="1"/>
    <xf numFmtId="9" fontId="18" fillId="36" borderId="23" xfId="43" applyFont="1" applyFill="1" applyBorder="1" applyAlignment="1">
      <alignment horizontal="center"/>
    </xf>
    <xf numFmtId="164" fontId="18" fillId="36" borderId="22" xfId="0" applyNumberFormat="1" applyFont="1" applyFill="1" applyBorder="1" applyAlignment="1">
      <alignment horizontal="center"/>
    </xf>
    <xf numFmtId="0" fontId="18" fillId="0" borderId="23" xfId="0" applyFont="1" applyBorder="1"/>
    <xf numFmtId="44" fontId="18" fillId="35" borderId="23" xfId="42" applyFont="1" applyFill="1" applyBorder="1"/>
    <xf numFmtId="9" fontId="18" fillId="35" borderId="23" xfId="43" applyFont="1" applyFill="1" applyBorder="1" applyAlignment="1">
      <alignment horizontal="center"/>
    </xf>
    <xf numFmtId="0" fontId="18" fillId="35" borderId="24" xfId="0" applyFont="1" applyFill="1" applyBorder="1" applyAlignment="1">
      <alignment horizontal="center"/>
    </xf>
    <xf numFmtId="0" fontId="18" fillId="35" borderId="23" xfId="0" applyFont="1" applyFill="1" applyBorder="1" applyAlignment="1">
      <alignment horizontal="center"/>
    </xf>
    <xf numFmtId="44" fontId="18" fillId="0" borderId="23" xfId="0" applyNumberFormat="1" applyFont="1" applyBorder="1"/>
    <xf numFmtId="0" fontId="18" fillId="0" borderId="23" xfId="0" applyFont="1" applyBorder="1" applyAlignment="1">
      <alignment horizontal="center"/>
    </xf>
    <xf numFmtId="0" fontId="18" fillId="36" borderId="22" xfId="0" applyFont="1" applyFill="1" applyBorder="1" applyAlignment="1">
      <alignment horizontal="center"/>
    </xf>
    <xf numFmtId="44" fontId="18" fillId="0" borderId="23" xfId="42" applyFont="1" applyFill="1" applyBorder="1"/>
    <xf numFmtId="9" fontId="18" fillId="0" borderId="23" xfId="43" applyFont="1" applyFill="1" applyBorder="1" applyAlignment="1">
      <alignment horizontal="center"/>
    </xf>
    <xf numFmtId="0" fontId="18" fillId="0" borderId="22" xfId="0" applyFont="1" applyBorder="1" applyAlignment="1">
      <alignment horizontal="center"/>
    </xf>
    <xf numFmtId="0" fontId="18" fillId="0" borderId="25" xfId="0" applyFont="1" applyBorder="1" applyAlignment="1">
      <alignment horizontal="center"/>
    </xf>
    <xf numFmtId="2" fontId="18" fillId="36" borderId="22" xfId="0" applyNumberFormat="1" applyFont="1" applyFill="1" applyBorder="1" applyAlignment="1">
      <alignment horizontal="center"/>
    </xf>
    <xf numFmtId="2" fontId="18" fillId="36" borderId="23" xfId="0" applyNumberFormat="1" applyFont="1" applyFill="1" applyBorder="1" applyAlignment="1">
      <alignment horizontal="center"/>
    </xf>
    <xf numFmtId="0" fontId="18" fillId="0" borderId="12" xfId="0" applyFont="1" applyBorder="1"/>
    <xf numFmtId="44" fontId="19" fillId="33" borderId="12" xfId="42" applyFont="1" applyFill="1" applyBorder="1" applyAlignment="1">
      <alignment horizontal="center" vertical="center" wrapText="1"/>
    </xf>
    <xf numFmtId="9" fontId="19" fillId="33" borderId="12" xfId="43" applyFont="1" applyFill="1" applyBorder="1" applyAlignment="1">
      <alignment horizontal="center" vertical="center" wrapText="1"/>
    </xf>
    <xf numFmtId="0" fontId="19" fillId="33" borderId="13" xfId="0" applyFont="1" applyFill="1" applyBorder="1" applyAlignment="1">
      <alignment horizontal="center" vertical="center"/>
    </xf>
    <xf numFmtId="0" fontId="19" fillId="33" borderId="11" xfId="42" applyNumberFormat="1" applyFont="1" applyFill="1" applyBorder="1" applyAlignment="1">
      <alignment horizontal="center" vertical="center" wrapText="1"/>
    </xf>
    <xf numFmtId="0" fontId="20" fillId="0" borderId="0" xfId="0" applyFont="1" applyAlignment="1">
      <alignment horizontal="center" vertical="center"/>
    </xf>
    <xf numFmtId="0" fontId="20" fillId="36" borderId="23" xfId="0" applyFont="1" applyFill="1" applyBorder="1" applyAlignment="1">
      <alignment horizontal="center" vertical="center"/>
    </xf>
    <xf numFmtId="44" fontId="20" fillId="36" borderId="23" xfId="42" applyFont="1" applyFill="1" applyBorder="1" applyAlignment="1">
      <alignment horizontal="center" vertical="center"/>
    </xf>
    <xf numFmtId="9" fontId="20" fillId="36" borderId="23" xfId="43" applyFont="1" applyFill="1" applyBorder="1" applyAlignment="1">
      <alignment horizontal="center" vertical="center"/>
    </xf>
    <xf numFmtId="164" fontId="20" fillId="36" borderId="22" xfId="0" applyNumberFormat="1" applyFont="1" applyFill="1" applyBorder="1" applyAlignment="1">
      <alignment horizontal="center" vertical="center"/>
    </xf>
    <xf numFmtId="0" fontId="19" fillId="37" borderId="26" xfId="0" applyFont="1" applyFill="1" applyBorder="1" applyAlignment="1">
      <alignment horizontal="center" vertical="center" wrapText="1"/>
    </xf>
    <xf numFmtId="0" fontId="19" fillId="37" borderId="27" xfId="0" applyFont="1" applyFill="1" applyBorder="1" applyAlignment="1">
      <alignment horizontal="center" vertical="center" wrapText="1"/>
    </xf>
    <xf numFmtId="0" fontId="19" fillId="37" borderId="28" xfId="0" applyFont="1" applyFill="1" applyBorder="1" applyAlignment="1">
      <alignment horizontal="center" vertical="center" wrapText="1"/>
    </xf>
    <xf numFmtId="0" fontId="22" fillId="0" borderId="0" xfId="0" applyFont="1" applyBorder="1" applyAlignment="1">
      <alignment horizontal="left" wrapText="1"/>
    </xf>
    <xf numFmtId="49" fontId="20" fillId="0" borderId="26" xfId="0" applyNumberFormat="1" applyFont="1" applyFill="1" applyBorder="1" applyAlignment="1">
      <alignment horizontal="center" wrapText="1"/>
    </xf>
    <xf numFmtId="49" fontId="20" fillId="0" borderId="27" xfId="0" applyNumberFormat="1" applyFont="1" applyFill="1" applyBorder="1" applyAlignment="1">
      <alignment horizontal="center" wrapText="1"/>
    </xf>
    <xf numFmtId="44" fontId="20" fillId="0" borderId="27" xfId="42" applyFont="1" applyFill="1" applyBorder="1" applyAlignment="1">
      <alignment horizontal="center" wrapText="1"/>
    </xf>
    <xf numFmtId="0" fontId="20" fillId="0" borderId="27" xfId="0" applyFont="1" applyFill="1" applyBorder="1" applyAlignment="1">
      <alignment horizontal="center" wrapText="1"/>
    </xf>
    <xf numFmtId="0" fontId="20" fillId="0" borderId="27" xfId="0" applyFont="1" applyFill="1" applyBorder="1" applyAlignment="1">
      <alignment horizontal="center"/>
    </xf>
    <xf numFmtId="2" fontId="20" fillId="0" borderId="27" xfId="0" applyNumberFormat="1" applyFont="1" applyFill="1" applyBorder="1" applyAlignment="1">
      <alignment horizontal="center" wrapText="1"/>
    </xf>
    <xf numFmtId="164" fontId="20" fillId="0" borderId="28" xfId="0" applyNumberFormat="1" applyFont="1" applyFill="1" applyBorder="1" applyAlignment="1">
      <alignment horizontal="center"/>
    </xf>
    <xf numFmtId="0" fontId="21" fillId="0" borderId="0" xfId="0" applyFont="1" applyBorder="1" applyAlignment="1">
      <alignment wrapText="1"/>
    </xf>
    <xf numFmtId="0" fontId="21" fillId="0" borderId="29" xfId="0" applyFont="1" applyBorder="1" applyAlignment="1">
      <alignment horizont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1C245E"/>
      <color rgb="FF5062E4"/>
      <color rgb="FF5062E5"/>
      <color rgb="FFFFF8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392906</xdr:rowOff>
    </xdr:from>
    <xdr:to>
      <xdr:col>3</xdr:col>
      <xdr:colOff>1474778</xdr:colOff>
      <xdr:row>0</xdr:row>
      <xdr:rowOff>1345406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392906"/>
          <a:ext cx="4856153" cy="952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7E0B4-1E70-47F4-9CF3-6B6F2AC30CB5}">
  <dimension ref="A1:Y19"/>
  <sheetViews>
    <sheetView showGridLines="0" tabSelected="1" zoomScale="80" zoomScaleNormal="80" workbookViewId="0">
      <selection activeCell="H14" sqref="H14"/>
    </sheetView>
  </sheetViews>
  <sheetFormatPr defaultColWidth="11.28515625" defaultRowHeight="18.75" x14ac:dyDescent="0.3"/>
  <cols>
    <col min="1" max="1" width="15.7109375" style="20" customWidth="1"/>
    <col min="2" max="2" width="22.140625" style="20" customWidth="1"/>
    <col min="3" max="3" width="15.7109375" style="20" customWidth="1"/>
    <col min="4" max="4" width="22.42578125" style="20" customWidth="1"/>
    <col min="5" max="5" width="10.42578125" style="20" customWidth="1"/>
    <col min="6" max="6" width="23.85546875" style="20" customWidth="1"/>
    <col min="7" max="7" width="23.5703125" style="20" customWidth="1"/>
    <col min="8" max="8" width="19.85546875" style="20" customWidth="1"/>
    <col min="9" max="9" width="15.140625" style="20" customWidth="1"/>
    <col min="10" max="10" width="20.42578125" style="20" customWidth="1"/>
    <col min="11" max="11" width="27.42578125" style="20" customWidth="1"/>
    <col min="12" max="12" width="17.85546875" style="20" customWidth="1"/>
    <col min="13" max="13" width="18.140625" style="20" customWidth="1"/>
    <col min="14" max="14" width="23" style="20" customWidth="1"/>
    <col min="15" max="15" width="13.140625" style="20" customWidth="1"/>
    <col min="16" max="16" width="23.5703125" style="20" customWidth="1"/>
    <col min="17" max="17" width="19" style="20" customWidth="1"/>
    <col min="18" max="18" width="24.85546875" style="20" customWidth="1"/>
    <col min="19" max="19" width="16.42578125" style="20" customWidth="1"/>
    <col min="20" max="20" width="14.85546875" style="20" bestFit="1" customWidth="1"/>
    <col min="21" max="21" width="7.5703125" style="20" customWidth="1"/>
    <col min="22" max="22" width="51" style="20" customWidth="1"/>
    <col min="23" max="23" width="18.7109375" style="20" customWidth="1"/>
    <col min="24" max="24" width="19.140625" style="20" customWidth="1"/>
    <col min="25" max="25" width="8.42578125" style="20" bestFit="1" customWidth="1"/>
    <col min="26" max="16384" width="11.28515625" style="20"/>
  </cols>
  <sheetData>
    <row r="1" spans="1:25" ht="141" customHeight="1" x14ac:dyDescent="0.9">
      <c r="D1" s="61" t="s">
        <v>67</v>
      </c>
      <c r="E1" s="61"/>
      <c r="F1" s="61"/>
      <c r="G1" s="61"/>
      <c r="H1" s="61"/>
      <c r="I1" s="61"/>
      <c r="J1" s="61"/>
      <c r="K1" s="61"/>
      <c r="L1" s="61"/>
      <c r="M1" s="61"/>
      <c r="N1" s="61"/>
      <c r="O1" s="61"/>
      <c r="P1" s="61"/>
      <c r="Q1" s="61"/>
      <c r="R1" s="61"/>
      <c r="S1" s="61"/>
      <c r="T1" s="60"/>
    </row>
    <row r="2" spans="1:25" s="19" customFormat="1" ht="95.25" customHeight="1" x14ac:dyDescent="0.25">
      <c r="A2" s="49" t="s">
        <v>0</v>
      </c>
      <c r="B2" s="50" t="s">
        <v>1</v>
      </c>
      <c r="C2" s="50" t="s">
        <v>2</v>
      </c>
      <c r="D2" s="50" t="s">
        <v>3</v>
      </c>
      <c r="E2" s="50" t="s">
        <v>4</v>
      </c>
      <c r="F2" s="50" t="s">
        <v>5</v>
      </c>
      <c r="G2" s="50" t="s">
        <v>6</v>
      </c>
      <c r="H2" s="50" t="s">
        <v>7</v>
      </c>
      <c r="I2" s="50" t="s">
        <v>68</v>
      </c>
      <c r="J2" s="50" t="s">
        <v>63</v>
      </c>
      <c r="K2" s="50" t="s">
        <v>70</v>
      </c>
      <c r="L2" s="50" t="s">
        <v>10</v>
      </c>
      <c r="M2" s="50" t="s">
        <v>71</v>
      </c>
      <c r="N2" s="50" t="s">
        <v>12</v>
      </c>
      <c r="O2" s="50" t="s">
        <v>13</v>
      </c>
      <c r="P2" s="50" t="s">
        <v>69</v>
      </c>
      <c r="Q2" s="50" t="s">
        <v>64</v>
      </c>
      <c r="R2" s="50" t="s">
        <v>65</v>
      </c>
      <c r="S2" s="50" t="s">
        <v>14</v>
      </c>
      <c r="T2" s="51" t="s">
        <v>15</v>
      </c>
      <c r="V2" s="43" t="s">
        <v>16</v>
      </c>
      <c r="W2" s="40" t="s">
        <v>17</v>
      </c>
      <c r="X2" s="41" t="s">
        <v>18</v>
      </c>
      <c r="Y2" s="42" t="s">
        <v>19</v>
      </c>
    </row>
    <row r="3" spans="1:25" s="44" customFormat="1" ht="48.75" customHeight="1" x14ac:dyDescent="0.3">
      <c r="A3" s="53" t="s">
        <v>24</v>
      </c>
      <c r="B3" s="54" t="s">
        <v>20</v>
      </c>
      <c r="C3" s="55">
        <v>957913.52</v>
      </c>
      <c r="D3" s="56">
        <v>400</v>
      </c>
      <c r="E3" s="56">
        <v>1</v>
      </c>
      <c r="F3" s="54" t="s">
        <v>25</v>
      </c>
      <c r="G3" s="57">
        <v>2</v>
      </c>
      <c r="H3" s="57" t="s">
        <v>21</v>
      </c>
      <c r="I3" s="57">
        <v>0</v>
      </c>
      <c r="J3" s="54" t="s">
        <v>22</v>
      </c>
      <c r="K3" s="56">
        <v>2</v>
      </c>
      <c r="L3" s="54" t="s">
        <v>22</v>
      </c>
      <c r="M3" s="56">
        <v>2</v>
      </c>
      <c r="N3" s="54" t="s">
        <v>22</v>
      </c>
      <c r="O3" s="57">
        <v>2</v>
      </c>
      <c r="P3" s="54" t="s">
        <v>21</v>
      </c>
      <c r="Q3" s="54" t="s">
        <v>22</v>
      </c>
      <c r="R3" s="54" t="s">
        <v>21</v>
      </c>
      <c r="S3" s="58">
        <f t="shared" ref="S3" si="0">IF(P3="no",0,(2+(IF(Q3="yes",0.75,0))+IF(R3="yes",0.5,0)))</f>
        <v>0</v>
      </c>
      <c r="T3" s="59">
        <f>E3+G3+I3+M3+O3+S3</f>
        <v>7</v>
      </c>
      <c r="V3" s="45" t="s">
        <v>23</v>
      </c>
      <c r="W3" s="46">
        <f>SUMIF(E:E,"0",C:C)</f>
        <v>0</v>
      </c>
      <c r="X3" s="47">
        <f>W3/W$18</f>
        <v>0</v>
      </c>
      <c r="Y3" s="48">
        <v>0</v>
      </c>
    </row>
    <row r="4" spans="1:25" x14ac:dyDescent="0.3">
      <c r="A4" s="52" t="s">
        <v>66</v>
      </c>
      <c r="B4" s="52"/>
      <c r="C4" s="52"/>
      <c r="D4" s="52"/>
      <c r="E4" s="52"/>
      <c r="F4" s="52"/>
      <c r="G4" s="52"/>
      <c r="H4" s="52"/>
      <c r="I4" s="52"/>
      <c r="J4" s="52"/>
      <c r="K4" s="52"/>
      <c r="L4" s="52"/>
      <c r="M4" s="52"/>
      <c r="N4" s="52"/>
      <c r="O4" s="52"/>
      <c r="P4" s="52"/>
      <c r="Q4" s="52"/>
      <c r="R4" s="52"/>
      <c r="S4" s="52"/>
      <c r="T4" s="52"/>
      <c r="V4" s="21" t="s">
        <v>26</v>
      </c>
      <c r="W4" s="22">
        <f>SUMIF(E:E,"0.5",C:C)</f>
        <v>0</v>
      </c>
      <c r="X4" s="23">
        <f>W4/W$18</f>
        <v>0</v>
      </c>
      <c r="Y4" s="24">
        <v>0.5</v>
      </c>
    </row>
    <row r="5" spans="1:25" ht="18.75" customHeight="1" x14ac:dyDescent="0.3">
      <c r="A5" s="52"/>
      <c r="B5" s="52"/>
      <c r="C5" s="52"/>
      <c r="D5" s="52"/>
      <c r="E5" s="52"/>
      <c r="F5" s="52"/>
      <c r="G5" s="52"/>
      <c r="H5" s="52"/>
      <c r="I5" s="52"/>
      <c r="J5" s="52"/>
      <c r="K5" s="52"/>
      <c r="L5" s="52"/>
      <c r="M5" s="52"/>
      <c r="N5" s="52"/>
      <c r="O5" s="52"/>
      <c r="P5" s="52"/>
      <c r="Q5" s="52"/>
      <c r="R5" s="52"/>
      <c r="S5" s="52"/>
      <c r="T5" s="52"/>
      <c r="V5" s="21" t="s">
        <v>27</v>
      </c>
      <c r="W5" s="22">
        <f>SUMIF(E:E,"1.0",C:C)</f>
        <v>957913.52</v>
      </c>
      <c r="X5" s="23">
        <f>W5/W$18</f>
        <v>1</v>
      </c>
      <c r="Y5" s="24">
        <v>1</v>
      </c>
    </row>
    <row r="6" spans="1:25" x14ac:dyDescent="0.3">
      <c r="A6" s="52"/>
      <c r="B6" s="52"/>
      <c r="C6" s="52"/>
      <c r="D6" s="52"/>
      <c r="E6" s="52"/>
      <c r="F6" s="52"/>
      <c r="G6" s="52"/>
      <c r="H6" s="52"/>
      <c r="I6" s="52"/>
      <c r="J6" s="52"/>
      <c r="K6" s="52"/>
      <c r="L6" s="52"/>
      <c r="M6" s="52"/>
      <c r="N6" s="52"/>
      <c r="O6" s="52"/>
      <c r="P6" s="52"/>
      <c r="Q6" s="52"/>
      <c r="R6" s="52"/>
      <c r="S6" s="52"/>
      <c r="T6" s="52"/>
      <c r="V6" s="21" t="s">
        <v>28</v>
      </c>
      <c r="W6" s="22">
        <f>SUMIF(E:E,"1.5",C:C)</f>
        <v>0</v>
      </c>
      <c r="X6" s="23">
        <f>W6/W$18</f>
        <v>0</v>
      </c>
      <c r="Y6" s="24">
        <v>1.5</v>
      </c>
    </row>
    <row r="7" spans="1:25" x14ac:dyDescent="0.3">
      <c r="A7" s="52"/>
      <c r="B7" s="52"/>
      <c r="C7" s="52"/>
      <c r="D7" s="52"/>
      <c r="E7" s="52"/>
      <c r="F7" s="52"/>
      <c r="G7" s="52"/>
      <c r="H7" s="52"/>
      <c r="I7" s="52"/>
      <c r="J7" s="52"/>
      <c r="K7" s="52"/>
      <c r="L7" s="52"/>
      <c r="M7" s="52"/>
      <c r="N7" s="52"/>
      <c r="O7" s="52"/>
      <c r="P7" s="52"/>
      <c r="Q7" s="52"/>
      <c r="R7" s="52"/>
      <c r="S7" s="52"/>
      <c r="T7" s="52"/>
      <c r="V7" s="25" t="s">
        <v>29</v>
      </c>
      <c r="W7" s="26">
        <f>SUMIF(F:F,"Cook",C:C)</f>
        <v>957913.52</v>
      </c>
      <c r="X7" s="27">
        <f t="shared" ref="X7:X17" si="1">W7/$W$18</f>
        <v>1</v>
      </c>
      <c r="Y7" s="28">
        <v>2</v>
      </c>
    </row>
    <row r="8" spans="1:25" x14ac:dyDescent="0.3">
      <c r="A8" s="52"/>
      <c r="B8" s="52"/>
      <c r="C8" s="52"/>
      <c r="D8" s="52"/>
      <c r="E8" s="52"/>
      <c r="F8" s="52"/>
      <c r="G8" s="52"/>
      <c r="H8" s="52"/>
      <c r="I8" s="52"/>
      <c r="J8" s="52"/>
      <c r="K8" s="52"/>
      <c r="L8" s="52"/>
      <c r="M8" s="52"/>
      <c r="N8" s="52"/>
      <c r="O8" s="52"/>
      <c r="P8" s="52"/>
      <c r="Q8" s="52"/>
      <c r="R8" s="52"/>
      <c r="S8" s="52"/>
      <c r="T8" s="52"/>
      <c r="V8" s="25" t="s">
        <v>30</v>
      </c>
      <c r="W8" s="26">
        <f>SUMIF(F:F,"North East",C:C)</f>
        <v>0</v>
      </c>
      <c r="X8" s="27">
        <f t="shared" si="1"/>
        <v>0</v>
      </c>
      <c r="Y8" s="29">
        <v>1</v>
      </c>
    </row>
    <row r="9" spans="1:25" x14ac:dyDescent="0.3">
      <c r="V9" s="25" t="s">
        <v>31</v>
      </c>
      <c r="W9" s="30">
        <f>(SUMIF(F:F,"Southern",C:C))</f>
        <v>0</v>
      </c>
      <c r="X9" s="27">
        <f t="shared" si="1"/>
        <v>0</v>
      </c>
      <c r="Y9" s="31">
        <v>1</v>
      </c>
    </row>
    <row r="10" spans="1:25" x14ac:dyDescent="0.3">
      <c r="V10" s="25" t="s">
        <v>32</v>
      </c>
      <c r="W10" s="26">
        <f>(SUMIF(F:F,"North West",C:C))+(SUMIF(F:F,"West Central",C:C))+(SUMIF(F:F,"East Central",C:C))</f>
        <v>0</v>
      </c>
      <c r="X10" s="27">
        <f t="shared" si="1"/>
        <v>0</v>
      </c>
      <c r="Y10" s="29">
        <v>0</v>
      </c>
    </row>
    <row r="11" spans="1:25" x14ac:dyDescent="0.3">
      <c r="V11" s="21" t="s">
        <v>33</v>
      </c>
      <c r="W11" s="22">
        <f>SUMIF(I:I,"2",C:C)</f>
        <v>0</v>
      </c>
      <c r="X11" s="23">
        <f t="shared" si="1"/>
        <v>0</v>
      </c>
      <c r="Y11" s="32">
        <v>2</v>
      </c>
    </row>
    <row r="12" spans="1:25" x14ac:dyDescent="0.3">
      <c r="V12" s="25" t="s">
        <v>34</v>
      </c>
      <c r="W12" s="33">
        <f>SUMIF(K:K,"2",C:C)</f>
        <v>957913.52</v>
      </c>
      <c r="X12" s="34">
        <f t="shared" si="1"/>
        <v>1</v>
      </c>
      <c r="Y12" s="35">
        <v>2</v>
      </c>
    </row>
    <row r="13" spans="1:25" x14ac:dyDescent="0.3">
      <c r="V13" s="21" t="s">
        <v>35</v>
      </c>
      <c r="W13" s="22">
        <f>SUMIF(K:K,"2",C:C)</f>
        <v>957913.52</v>
      </c>
      <c r="X13" s="23">
        <f t="shared" si="1"/>
        <v>1</v>
      </c>
      <c r="Y13" s="32">
        <v>2</v>
      </c>
    </row>
    <row r="14" spans="1:25" x14ac:dyDescent="0.3">
      <c r="V14" s="25" t="s">
        <v>36</v>
      </c>
      <c r="W14" s="33">
        <f>SUMIF(O:O,"2",C:C)</f>
        <v>957913.52</v>
      </c>
      <c r="X14" s="34">
        <f t="shared" si="1"/>
        <v>1</v>
      </c>
      <c r="Y14" s="36">
        <v>2</v>
      </c>
    </row>
    <row r="15" spans="1:25" x14ac:dyDescent="0.3">
      <c r="V15" s="21" t="s">
        <v>37</v>
      </c>
      <c r="W15" s="22">
        <f>SUMIF(P:P,"Yes",C:C)</f>
        <v>0</v>
      </c>
      <c r="X15" s="23">
        <f t="shared" si="1"/>
        <v>0</v>
      </c>
      <c r="Y15" s="37">
        <v>2</v>
      </c>
    </row>
    <row r="16" spans="1:25" x14ac:dyDescent="0.3">
      <c r="V16" s="21" t="s">
        <v>38</v>
      </c>
      <c r="W16" s="22">
        <f>SUMIF(Q:Q,"yes",C:C)</f>
        <v>957913.52</v>
      </c>
      <c r="X16" s="23">
        <f t="shared" si="1"/>
        <v>1</v>
      </c>
      <c r="Y16" s="38">
        <v>0.75</v>
      </c>
    </row>
    <row r="17" spans="22:25" x14ac:dyDescent="0.3">
      <c r="V17" s="21" t="s">
        <v>39</v>
      </c>
      <c r="W17" s="22">
        <f>SUMIF(R:R,"yes",C:C)</f>
        <v>0</v>
      </c>
      <c r="X17" s="23">
        <f t="shared" si="1"/>
        <v>0</v>
      </c>
      <c r="Y17" s="38">
        <v>0.5</v>
      </c>
    </row>
    <row r="18" spans="22:25" x14ac:dyDescent="0.3">
      <c r="V18" s="25" t="s">
        <v>40</v>
      </c>
      <c r="W18" s="33">
        <f>SUM(C:C)</f>
        <v>957913.52</v>
      </c>
      <c r="X18" s="34"/>
      <c r="Y18" s="31"/>
    </row>
    <row r="19" spans="22:25" x14ac:dyDescent="0.3">
      <c r="V19" s="39"/>
    </row>
  </sheetData>
  <sortState xmlns:xlrd2="http://schemas.microsoft.com/office/spreadsheetml/2017/richdata2" ref="A3:R3">
    <sortCondition descending="1" ref="R3"/>
  </sortState>
  <mergeCells count="2">
    <mergeCell ref="A4:T8"/>
    <mergeCell ref="D1:S1"/>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51CE5-0A25-4FF5-A6A3-AB5C71C38B65}">
  <dimension ref="A1:X8"/>
  <sheetViews>
    <sheetView showGridLines="0" topLeftCell="P1" workbookViewId="0">
      <selection activeCell="T1" sqref="T1:T1048576"/>
    </sheetView>
  </sheetViews>
  <sheetFormatPr defaultRowHeight="15" x14ac:dyDescent="0.25"/>
  <cols>
    <col min="6" max="6" width="12.28515625" customWidth="1"/>
    <col min="20" max="20" width="15.140625" customWidth="1"/>
    <col min="21" max="21" width="6.85546875" style="8" customWidth="1"/>
    <col min="22" max="22" width="13.5703125" customWidth="1"/>
    <col min="23" max="23" width="14.42578125" customWidth="1"/>
    <col min="24" max="24" width="10.85546875" customWidth="1"/>
  </cols>
  <sheetData>
    <row r="1" spans="1:24" ht="75" x14ac:dyDescent="0.25">
      <c r="A1" s="14" t="s">
        <v>42</v>
      </c>
      <c r="B1" s="15" t="s">
        <v>1</v>
      </c>
      <c r="C1" s="15" t="s">
        <v>2</v>
      </c>
      <c r="D1" s="15" t="s">
        <v>3</v>
      </c>
      <c r="E1" s="15" t="s">
        <v>43</v>
      </c>
      <c r="F1" s="15" t="s">
        <v>4</v>
      </c>
      <c r="G1" s="15" t="s">
        <v>44</v>
      </c>
      <c r="H1" s="15" t="s">
        <v>45</v>
      </c>
      <c r="I1" s="15" t="s">
        <v>46</v>
      </c>
      <c r="J1" s="15" t="s">
        <v>8</v>
      </c>
      <c r="K1" s="15" t="s">
        <v>9</v>
      </c>
      <c r="L1" s="15" t="s">
        <v>47</v>
      </c>
      <c r="M1" s="15" t="s">
        <v>11</v>
      </c>
      <c r="N1" s="15" t="s">
        <v>48</v>
      </c>
      <c r="O1" s="15" t="s">
        <v>49</v>
      </c>
      <c r="P1" s="15" t="s">
        <v>50</v>
      </c>
      <c r="Q1" s="15" t="s">
        <v>13</v>
      </c>
      <c r="R1" s="15" t="s">
        <v>51</v>
      </c>
      <c r="S1" s="15" t="s">
        <v>14</v>
      </c>
      <c r="T1" s="16" t="s">
        <v>52</v>
      </c>
      <c r="V1" s="7" t="s">
        <v>16</v>
      </c>
      <c r="W1" s="2" t="s">
        <v>17</v>
      </c>
      <c r="X1" s="9" t="s">
        <v>41</v>
      </c>
    </row>
    <row r="2" spans="1:24" ht="30" x14ac:dyDescent="0.25">
      <c r="A2" s="10" t="s">
        <v>53</v>
      </c>
      <c r="B2" s="11" t="s">
        <v>20</v>
      </c>
      <c r="C2" s="11">
        <v>5808540</v>
      </c>
      <c r="D2" s="11">
        <v>1850</v>
      </c>
      <c r="E2" s="11" t="s">
        <v>54</v>
      </c>
      <c r="F2" s="11">
        <v>0</v>
      </c>
      <c r="G2" s="11" t="s">
        <v>55</v>
      </c>
      <c r="H2" s="11" t="s">
        <v>56</v>
      </c>
      <c r="I2" s="12">
        <v>2</v>
      </c>
      <c r="J2" s="11" t="s">
        <v>22</v>
      </c>
      <c r="K2" s="11">
        <v>1</v>
      </c>
      <c r="L2" s="11" t="s">
        <v>22</v>
      </c>
      <c r="M2" s="11">
        <v>1</v>
      </c>
      <c r="N2" s="11" t="s">
        <v>21</v>
      </c>
      <c r="O2" s="11">
        <v>0</v>
      </c>
      <c r="P2" s="11" t="s">
        <v>21</v>
      </c>
      <c r="Q2" s="11">
        <v>0</v>
      </c>
      <c r="R2" s="11" t="s">
        <v>57</v>
      </c>
      <c r="S2" s="11">
        <v>1</v>
      </c>
      <c r="T2" s="13">
        <v>4</v>
      </c>
      <c r="V2" s="3" t="s">
        <v>56</v>
      </c>
      <c r="W2" s="4">
        <f>SUMIF(H:H,"A",C:C)</f>
        <v>5808540</v>
      </c>
      <c r="X2" s="17">
        <f>Total_Incentives!$W2/W6</f>
        <v>0.45510839332886943</v>
      </c>
    </row>
    <row r="3" spans="1:24" ht="30" x14ac:dyDescent="0.25">
      <c r="A3" s="10" t="s">
        <v>58</v>
      </c>
      <c r="B3" s="11" t="s">
        <v>20</v>
      </c>
      <c r="C3" s="11">
        <v>6954441.4900000002</v>
      </c>
      <c r="D3" s="11">
        <v>2000</v>
      </c>
      <c r="E3" s="11" t="s">
        <v>54</v>
      </c>
      <c r="F3" s="11">
        <v>0</v>
      </c>
      <c r="G3" s="11" t="s">
        <v>59</v>
      </c>
      <c r="H3" s="11" t="s">
        <v>60</v>
      </c>
      <c r="I3" s="12">
        <v>0.5</v>
      </c>
      <c r="J3" s="11" t="s">
        <v>22</v>
      </c>
      <c r="K3" s="11">
        <v>1</v>
      </c>
      <c r="L3" s="11" t="s">
        <v>22</v>
      </c>
      <c r="M3" s="11">
        <v>1</v>
      </c>
      <c r="N3" s="11" t="s">
        <v>21</v>
      </c>
      <c r="O3" s="11">
        <v>0</v>
      </c>
      <c r="P3" s="11" t="s">
        <v>21</v>
      </c>
      <c r="Q3" s="11">
        <v>0</v>
      </c>
      <c r="R3" s="11" t="s">
        <v>57</v>
      </c>
      <c r="S3" s="11">
        <v>1</v>
      </c>
      <c r="T3" s="12">
        <v>2.5</v>
      </c>
      <c r="V3" s="3" t="s">
        <v>60</v>
      </c>
      <c r="W3" s="4">
        <f>SUMIF(H:H,"B",C:C)</f>
        <v>6954441.4900000002</v>
      </c>
      <c r="X3" s="17">
        <f>Total_Incentives!$W3/W6</f>
        <v>0.54489160667113057</v>
      </c>
    </row>
    <row r="4" spans="1:24" x14ac:dyDescent="0.25">
      <c r="V4" s="3" t="s">
        <v>54</v>
      </c>
      <c r="W4" s="4">
        <f>SUM(C:C)</f>
        <v>12762981.49</v>
      </c>
      <c r="X4" s="17">
        <f>Total_Incentives!$W4/W6</f>
        <v>1</v>
      </c>
    </row>
    <row r="5" spans="1:24" x14ac:dyDescent="0.25">
      <c r="V5" s="3" t="s">
        <v>61</v>
      </c>
      <c r="W5" s="4">
        <f>SUMIF(C:C,"&lt;=250",F:F)</f>
        <v>0</v>
      </c>
      <c r="X5" s="17"/>
    </row>
    <row r="6" spans="1:24" x14ac:dyDescent="0.25">
      <c r="V6" s="5" t="s">
        <v>40</v>
      </c>
      <c r="W6" s="6">
        <f>SUM(W2:W3)</f>
        <v>12762981.49</v>
      </c>
      <c r="X6" s="18"/>
    </row>
    <row r="7" spans="1:24" x14ac:dyDescent="0.25">
      <c r="X7" s="8"/>
    </row>
    <row r="8" spans="1:24" x14ac:dyDescent="0.25">
      <c r="V8" t="s">
        <v>62</v>
      </c>
      <c r="W8" s="1">
        <f>12500000-W6</f>
        <v>-262981.49000000022</v>
      </c>
      <c r="X8"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b95cb2c-15d4-40b4-a5ea-5b363946ee4f"/>
    <lcf76f155ced4ddcb4097134ff3c332f xmlns="b6b43722-16b9-40ab-9842-b5379c0457c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06E127288E664784213818CB5C5DCA" ma:contentTypeVersion="20" ma:contentTypeDescription="Create a new document." ma:contentTypeScope="" ma:versionID="9472edbfb0bcde4de3e90f0b05cc24dd">
  <xsd:schema xmlns:xsd="http://www.w3.org/2001/XMLSchema" xmlns:xs="http://www.w3.org/2001/XMLSchema" xmlns:p="http://schemas.microsoft.com/office/2006/metadata/properties" xmlns:ns1="http://schemas.microsoft.com/sharepoint/v3" xmlns:ns2="b6b43722-16b9-40ab-9842-b5379c0457c4" xmlns:ns3="3b95cb2c-15d4-40b4-a5ea-5b363946ee4f" targetNamespace="http://schemas.microsoft.com/office/2006/metadata/properties" ma:root="true" ma:fieldsID="7b7b4977b1ff0ad45e40a4c66aea9891" ns1:_="" ns2:_="" ns3:_="">
    <xsd:import namespace="http://schemas.microsoft.com/sharepoint/v3"/>
    <xsd:import namespace="b6b43722-16b9-40ab-9842-b5379c0457c4"/>
    <xsd:import namespace="3b95cb2c-15d4-40b4-a5ea-5b363946ee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b43722-16b9-40ab-9842-b5379c0457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929fd34-26c8-4d9f-a66d-c4a6e1935494"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95cb2c-15d4-40b4-a5ea-5b363946ee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8fe15d5-506a-46b3-8627-fe2bafb960da}" ma:internalName="TaxCatchAll" ma:showField="CatchAllData" ma:web="3b95cb2c-15d4-40b4-a5ea-5b363946ee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9F826E-23AF-457B-830B-65DBDFA4189B}">
  <ds:schemaRefs>
    <ds:schemaRef ds:uri="http://schemas.microsoft.com/sharepoint/v3/contenttype/forms"/>
  </ds:schemaRefs>
</ds:datastoreItem>
</file>

<file path=customXml/itemProps2.xml><?xml version="1.0" encoding="utf-8"?>
<ds:datastoreItem xmlns:ds="http://schemas.openxmlformats.org/officeDocument/2006/customXml" ds:itemID="{0846C02D-8868-4D0F-B13B-1F6B040CEB66}">
  <ds:schemaRefs>
    <ds:schemaRef ds:uri="http://purl.org/dc/elements/1.1/"/>
    <ds:schemaRef ds:uri="b6b43722-16b9-40ab-9842-b5379c0457c4"/>
    <ds:schemaRef ds:uri="http://schemas.openxmlformats.org/package/2006/metadata/core-properties"/>
    <ds:schemaRef ds:uri="http://www.w3.org/XML/1998/namespace"/>
    <ds:schemaRef ds:uri="http://schemas.microsoft.com/office/2006/documentManagement/types"/>
    <ds:schemaRef ds:uri="3b95cb2c-15d4-40b4-a5ea-5b363946ee4f"/>
    <ds:schemaRef ds:uri="http://schemas.microsoft.com/office/2006/metadata/properties"/>
    <ds:schemaRef ds:uri="http://schemas.microsoft.com/sharepoint/v3"/>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E16F0FEE-D456-4D8E-AE03-1D400FEDA0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b43722-16b9-40ab-9842-b5379c0457c4"/>
    <ds:schemaRef ds:uri="3b95cb2c-15d4-40b4-a5ea-5b363946ee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EJC Projects</vt:lpstr>
      <vt:lpstr>Total_Incentives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 Philbrick</dc:creator>
  <cp:keywords/>
  <dc:description/>
  <cp:lastModifiedBy>Emily Chan</cp:lastModifiedBy>
  <cp:revision/>
  <dcterms:created xsi:type="dcterms:W3CDTF">2019-08-02T20:37:48Z</dcterms:created>
  <dcterms:modified xsi:type="dcterms:W3CDTF">2024-01-16T20:58:59Z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0x0101002806E127288E664784213818CB5C5DCA</vt:lpwstr>
  </property>
  <property fmtid="{D5CDD505-2E9C-101B-9397-08002B2CF9AE}" pid="3" name="MediaServiceImageTags">
    <vt:lpwstr/>
  </property>
</Properties>
</file>